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activeTab="1"/>
  </bookViews>
  <sheets>
    <sheet name="Income Statement" sheetId="1" r:id="rId1"/>
    <sheet name="Discounted Cash Flows" sheetId="2" r:id="rId2"/>
  </sheets>
  <calcPr calcId="152511"/>
</workbook>
</file>

<file path=xl/calcChain.xml><?xml version="1.0" encoding="utf-8"?>
<calcChain xmlns="http://schemas.openxmlformats.org/spreadsheetml/2006/main">
  <c r="D14" i="2" l="1"/>
  <c r="I11" i="2"/>
  <c r="G17" i="2"/>
  <c r="D18" i="2"/>
  <c r="P18" i="2" l="1"/>
  <c r="P20" i="2" s="1"/>
  <c r="H6" i="2" l="1"/>
  <c r="G6" i="2"/>
  <c r="F6" i="2"/>
  <c r="E6" i="2"/>
  <c r="D6" i="2"/>
  <c r="H5" i="2"/>
  <c r="G5" i="2"/>
  <c r="F5" i="2"/>
  <c r="E5" i="2"/>
  <c r="D5" i="2"/>
  <c r="M7" i="2" l="1"/>
  <c r="H7" i="2"/>
  <c r="H11" i="2" s="1"/>
  <c r="G7" i="2"/>
  <c r="F7" i="2"/>
  <c r="E7" i="2"/>
  <c r="D7" i="2"/>
  <c r="M5" i="1" l="1"/>
  <c r="I10" i="2" l="1"/>
  <c r="I8" i="2"/>
  <c r="M10" i="1"/>
  <c r="N5" i="1"/>
  <c r="L12" i="1"/>
  <c r="L10" i="1"/>
  <c r="L8" i="1"/>
  <c r="L6" i="1"/>
  <c r="M6" i="1" s="1"/>
  <c r="M7" i="1" s="1"/>
  <c r="L5" i="1"/>
  <c r="J12" i="1"/>
  <c r="J10" i="1"/>
  <c r="J8" i="1"/>
  <c r="J6" i="1"/>
  <c r="J5" i="1"/>
  <c r="H12" i="1"/>
  <c r="H10" i="1"/>
  <c r="H9" i="1"/>
  <c r="H8" i="1"/>
  <c r="H6" i="1"/>
  <c r="H5" i="1"/>
  <c r="F12" i="1"/>
  <c r="F10" i="1"/>
  <c r="F8" i="1"/>
  <c r="F6" i="1"/>
  <c r="F5" i="1"/>
  <c r="D5" i="1"/>
  <c r="D12" i="1"/>
  <c r="D10" i="1"/>
  <c r="D8" i="1"/>
  <c r="D6" i="1"/>
  <c r="J8" i="2" l="1"/>
  <c r="J10" i="2"/>
  <c r="M8" i="1"/>
  <c r="M9" i="1" s="1"/>
  <c r="N8" i="1"/>
  <c r="O5" i="1"/>
  <c r="N10" i="1"/>
  <c r="N6" i="1"/>
  <c r="N7" i="1" s="1"/>
  <c r="K10" i="2" l="1"/>
  <c r="K8" i="2"/>
  <c r="M11" i="1"/>
  <c r="M12" i="1" s="1"/>
  <c r="N9" i="1"/>
  <c r="P5" i="1"/>
  <c r="O10" i="1"/>
  <c r="O6" i="1"/>
  <c r="O7" i="1" s="1"/>
  <c r="O8" i="1"/>
  <c r="N11" i="1"/>
  <c r="N12" i="1" s="1"/>
  <c r="L8" i="2" l="1"/>
  <c r="L10" i="2"/>
  <c r="O9" i="1"/>
  <c r="Q5" i="1"/>
  <c r="P10" i="1"/>
  <c r="P6" i="1"/>
  <c r="P7" i="1" s="1"/>
  <c r="P8" i="1"/>
  <c r="M10" i="2" l="1"/>
  <c r="M8" i="2"/>
  <c r="O11" i="1"/>
  <c r="O12" i="1" s="1"/>
  <c r="P9" i="1"/>
  <c r="Q10" i="1"/>
  <c r="Q6" i="1"/>
  <c r="Q7" i="1" s="1"/>
  <c r="Q8" i="1"/>
  <c r="P11" i="1"/>
  <c r="P12" i="1" s="1"/>
  <c r="M11" i="2" l="1"/>
  <c r="Q9" i="1"/>
  <c r="Q11" i="1" l="1"/>
  <c r="Q12" i="1" s="1"/>
  <c r="C7" i="1" l="1"/>
  <c r="E7" i="1"/>
  <c r="G7" i="1"/>
  <c r="I7" i="1"/>
  <c r="K7" i="1"/>
  <c r="K9" i="1" l="1"/>
  <c r="L7" i="1"/>
  <c r="G11" i="1"/>
  <c r="H7" i="1"/>
  <c r="C9" i="1"/>
  <c r="D7" i="1"/>
  <c r="I9" i="1"/>
  <c r="J7" i="1"/>
  <c r="E9" i="1"/>
  <c r="F7" i="1"/>
  <c r="E11" i="1" l="1"/>
  <c r="F9" i="1"/>
  <c r="I11" i="1"/>
  <c r="J9" i="1"/>
  <c r="C11" i="1"/>
  <c r="D9" i="1"/>
  <c r="G13" i="1"/>
  <c r="H13" i="1" s="1"/>
  <c r="H11" i="1"/>
  <c r="K11" i="1"/>
  <c r="L9" i="1"/>
  <c r="Q13" i="1"/>
  <c r="M12" i="2" l="1"/>
  <c r="M13" i="2" s="1"/>
  <c r="K12" i="2"/>
  <c r="I12" i="2"/>
  <c r="L12" i="2"/>
  <c r="J12" i="2"/>
  <c r="K13" i="1"/>
  <c r="L13" i="1" s="1"/>
  <c r="L11" i="1"/>
  <c r="C13" i="1"/>
  <c r="D13" i="1" s="1"/>
  <c r="D11" i="1"/>
  <c r="I13" i="1"/>
  <c r="J13" i="1" s="1"/>
  <c r="J11" i="1"/>
  <c r="E13" i="1"/>
  <c r="F13" i="1" s="1"/>
  <c r="F11" i="1"/>
  <c r="F11" i="2"/>
  <c r="G11" i="2"/>
  <c r="I7" i="2"/>
  <c r="J7" i="2"/>
  <c r="K7" i="2"/>
  <c r="L7" i="2"/>
  <c r="I13" i="2" l="1"/>
  <c r="M13" i="1" l="1"/>
  <c r="N13" i="1"/>
  <c r="K11" i="2" l="1"/>
  <c r="K13" i="2" s="1"/>
  <c r="L11" i="2"/>
  <c r="D19" i="2" s="1"/>
  <c r="D20" i="2" s="1"/>
  <c r="O13" i="1"/>
  <c r="J11" i="2"/>
  <c r="J13" i="2" s="1"/>
  <c r="P13" i="1"/>
  <c r="L13" i="2" l="1"/>
  <c r="D21" i="2" s="1"/>
  <c r="D23" i="2" s="1"/>
  <c r="D25" i="2" s="1"/>
</calcChain>
</file>

<file path=xl/sharedStrings.xml><?xml version="1.0" encoding="utf-8"?>
<sst xmlns="http://schemas.openxmlformats.org/spreadsheetml/2006/main" count="78" uniqueCount="57">
  <si>
    <t>Revenue</t>
  </si>
  <si>
    <t>Gross Profit</t>
  </si>
  <si>
    <t>  Operating Expenses</t>
  </si>
  <si>
    <t>Operating Income</t>
  </si>
  <si>
    <t>Pretax Income</t>
  </si>
  <si>
    <t>  Income Tax Expense</t>
  </si>
  <si>
    <t>Net Income</t>
  </si>
  <si>
    <t>FY2013E</t>
  </si>
  <si>
    <t>FY2014E</t>
  </si>
  <si>
    <t>FY2015E</t>
  </si>
  <si>
    <t>%</t>
  </si>
  <si>
    <t>EBIT</t>
  </si>
  <si>
    <t>Net Tax</t>
  </si>
  <si>
    <t>Depreciation &amp; Amortization</t>
  </si>
  <si>
    <t>Change in Working Capital</t>
  </si>
  <si>
    <t>Capital Expenditures</t>
  </si>
  <si>
    <t>Free Cash Flow buildup</t>
  </si>
  <si>
    <t>Unlevered Free Cash Flow</t>
  </si>
  <si>
    <t>Cost of Equity</t>
  </si>
  <si>
    <t>Risk-free rate (rf)</t>
  </si>
  <si>
    <t>Market risk premium (rf-rm)</t>
  </si>
  <si>
    <t>Beta</t>
  </si>
  <si>
    <t>Cost of equity using CAPM</t>
  </si>
  <si>
    <t>Net Debt</t>
  </si>
  <si>
    <t>WACC</t>
  </si>
  <si>
    <t>Present Value of free cash flows</t>
  </si>
  <si>
    <t>Sum of Present value of FCFs</t>
  </si>
  <si>
    <t>Terminal Value Calculation</t>
  </si>
  <si>
    <t>Long term growth rate</t>
  </si>
  <si>
    <t>Free cash flow (t+1)</t>
  </si>
  <si>
    <t>Terminal Value</t>
  </si>
  <si>
    <t>Present value of Terminal Value</t>
  </si>
  <si>
    <t>Enterprise Value</t>
  </si>
  <si>
    <t>Equity Value</t>
  </si>
  <si>
    <t>Number of shares outstanding</t>
  </si>
  <si>
    <t>Share value</t>
  </si>
  <si>
    <t>EBIAT</t>
  </si>
  <si>
    <t>February 1, 2009</t>
  </si>
  <si>
    <t>January 31, 2010</t>
  </si>
  <si>
    <t>January 30, 2011</t>
  </si>
  <si>
    <t>January 29, 2012</t>
  </si>
  <si>
    <t>February 3, 2013</t>
  </si>
  <si>
    <t>FY2016E</t>
  </si>
  <si>
    <t>FY2017E</t>
  </si>
  <si>
    <t>Cost of Goods sold</t>
  </si>
  <si>
    <t>Other income (expense), net</t>
  </si>
  <si>
    <t>($ in '000s)</t>
  </si>
  <si>
    <t>Discount factor (WACC)</t>
  </si>
  <si>
    <t>Assumptions</t>
  </si>
  <si>
    <t>1) Revenue is forecasted at a rate of 16-20% for the next 5 years and with revenue growth in 2014 to be around 22% due to LuluLemon's plan to expand in UK</t>
  </si>
  <si>
    <t>2) Management is planning the Gross Profits &amp; Operating Income to be around 55% &amp; 26% for the next few years.</t>
  </si>
  <si>
    <t>3) The tax rate is 30%.</t>
  </si>
  <si>
    <t>1) Depreciation &amp; Ammortization taken to be around 3-4% of revenues</t>
  </si>
  <si>
    <t>2) CAPEX is expected be around 5-6% of the sales. Moreover the management has a guideline to keep the CAPEX to be around $110 - 130 million till FY 2015</t>
  </si>
  <si>
    <t>4) Number of shares outstanding are 145.9 million</t>
  </si>
  <si>
    <t>NA</t>
  </si>
  <si>
    <t>3) Growth Rate is taken to be around 4.4% (conservative side) compared to the CAGR of 6-7% for the Apparel and Sportswear market.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</si>
</sst>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&quot;$&quot;* #,##0.00_-;\-&quot;$&quot;* #,##0.00_-;_-&quot;$&quot;* &quot;-&quot;??_-;_-@_-"/>
    <numFmt numFmtId="165" formatCode="0.0"/>
    <numFmt numFmtId="166" formatCode="0.000"/>
    <numFmt numFmtId="167" formatCode="0.000%"/>
    <numFmt numFmtId="168" formatCode="0.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3" tint="-0.249977111117893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 tint="0.14999847407452621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sz val="8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9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4" fillId="0" borderId="0" xfId="0" applyFont="1"/>
    <xf numFmtId="0" fontId="25" fillId="0" borderId="0" xfId="0" applyFont="1"/>
    <xf numFmtId="0" fontId="24" fillId="37" borderId="10" xfId="0" applyFont="1" applyFill="1" applyBorder="1"/>
    <xf numFmtId="0" fontId="26" fillId="37" borderId="10" xfId="0" applyFont="1" applyFill="1" applyBorder="1" applyAlignment="1">
      <alignment horizontal="center"/>
    </xf>
    <xf numFmtId="0" fontId="26" fillId="34" borderId="10" xfId="0" applyFont="1" applyFill="1" applyBorder="1" applyAlignment="1">
      <alignment horizontal="center"/>
    </xf>
    <xf numFmtId="0" fontId="27" fillId="37" borderId="10" xfId="42" applyFont="1" applyFill="1" applyBorder="1"/>
    <xf numFmtId="0" fontId="28" fillId="37" borderId="10" xfId="42" applyFont="1" applyFill="1" applyBorder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8" fillId="37" borderId="10" xfId="43" applyFont="1" applyFill="1" applyBorder="1" applyAlignment="1">
      <alignment horizontal="center"/>
    </xf>
    <xf numFmtId="1" fontId="30" fillId="34" borderId="10" xfId="0" applyNumberFormat="1" applyFont="1" applyFill="1" applyBorder="1" applyAlignment="1">
      <alignment horizontal="center"/>
    </xf>
    <xf numFmtId="1" fontId="31" fillId="34" borderId="10" xfId="0" applyNumberFormat="1" applyFont="1" applyFill="1" applyBorder="1" applyAlignment="1">
      <alignment horizontal="center"/>
    </xf>
    <xf numFmtId="1" fontId="32" fillId="34" borderId="10" xfId="0" applyNumberFormat="1" applyFont="1" applyFill="1" applyBorder="1" applyAlignment="1">
      <alignment horizontal="center"/>
    </xf>
    <xf numFmtId="0" fontId="28" fillId="37" borderId="10" xfId="42" applyFont="1" applyFill="1" applyBorder="1" applyAlignment="1">
      <alignment horizontal="left" indent="1"/>
    </xf>
    <xf numFmtId="0" fontId="0" fillId="0" borderId="0" xfId="0"/>
    <xf numFmtId="10" fontId="29" fillId="37" borderId="10" xfId="44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7" fillId="37" borderId="10" xfId="43" applyFont="1" applyFill="1" applyBorder="1" applyAlignment="1">
      <alignment horizontal="center"/>
    </xf>
    <xf numFmtId="0" fontId="36" fillId="0" borderId="0" xfId="0" applyFont="1"/>
    <xf numFmtId="9" fontId="0" fillId="0" borderId="0" xfId="44" applyFont="1" applyAlignment="1">
      <alignment horizontal="center"/>
    </xf>
    <xf numFmtId="0" fontId="24" fillId="33" borderId="10" xfId="0" applyFont="1" applyFill="1" applyBorder="1" applyAlignment="1">
      <alignment horizontal="center" vertical="center"/>
    </xf>
    <xf numFmtId="165" fontId="24" fillId="33" borderId="10" xfId="0" applyNumberFormat="1" applyFont="1" applyFill="1" applyBorder="1" applyAlignment="1">
      <alignment horizontal="center" vertical="center"/>
    </xf>
    <xf numFmtId="165" fontId="30" fillId="33" borderId="10" xfId="0" applyNumberFormat="1" applyFont="1" applyFill="1" applyBorder="1" applyAlignment="1">
      <alignment horizontal="center" vertical="center"/>
    </xf>
    <xf numFmtId="2" fontId="33" fillId="34" borderId="10" xfId="0" applyNumberFormat="1" applyFont="1" applyFill="1" applyBorder="1" applyAlignment="1">
      <alignment horizontal="center" vertical="center"/>
    </xf>
    <xf numFmtId="2" fontId="33" fillId="34" borderId="11" xfId="0" applyNumberFormat="1" applyFont="1" applyFill="1" applyBorder="1" applyAlignment="1">
      <alignment horizontal="center" vertical="center"/>
    </xf>
    <xf numFmtId="167" fontId="34" fillId="33" borderId="10" xfId="0" applyNumberFormat="1" applyFont="1" applyFill="1" applyBorder="1" applyAlignment="1">
      <alignment horizontal="center" vertical="center"/>
    </xf>
    <xf numFmtId="168" fontId="35" fillId="34" borderId="10" xfId="0" applyNumberFormat="1" applyFont="1" applyFill="1" applyBorder="1" applyAlignment="1">
      <alignment horizontal="center" vertical="center"/>
    </xf>
    <xf numFmtId="2" fontId="32" fillId="34" borderId="10" xfId="0" applyNumberFormat="1" applyFont="1" applyFill="1" applyBorder="1" applyAlignment="1">
      <alignment horizontal="center" vertical="center"/>
    </xf>
    <xf numFmtId="166" fontId="25" fillId="34" borderId="10" xfId="0" applyNumberFormat="1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35" borderId="10" xfId="0" applyFont="1" applyFill="1" applyBorder="1" applyAlignment="1">
      <alignment vertical="center"/>
    </xf>
    <xf numFmtId="0" fontId="24" fillId="36" borderId="10" xfId="0" applyFont="1" applyFill="1" applyBorder="1" applyAlignment="1">
      <alignment vertical="center"/>
    </xf>
    <xf numFmtId="0" fontId="26" fillId="39" borderId="10" xfId="0" applyFont="1" applyFill="1" applyBorder="1" applyAlignment="1">
      <alignment vertical="center"/>
    </xf>
    <xf numFmtId="0" fontId="24" fillId="39" borderId="10" xfId="0" applyFont="1" applyFill="1" applyBorder="1" applyAlignment="1">
      <alignment vertical="center"/>
    </xf>
    <xf numFmtId="0" fontId="24" fillId="37" borderId="10" xfId="0" applyFont="1" applyFill="1" applyBorder="1" applyAlignment="1">
      <alignment vertical="center"/>
    </xf>
    <xf numFmtId="10" fontId="24" fillId="37" borderId="10" xfId="0" applyNumberFormat="1" applyFont="1" applyFill="1" applyBorder="1" applyAlignment="1">
      <alignment horizontal="center" vertical="center"/>
    </xf>
    <xf numFmtId="0" fontId="25" fillId="37" borderId="10" xfId="0" applyFont="1" applyFill="1" applyBorder="1" applyAlignment="1">
      <alignment vertical="center"/>
    </xf>
    <xf numFmtId="167" fontId="25" fillId="37" borderId="10" xfId="0" applyNumberFormat="1" applyFont="1" applyFill="1" applyBorder="1" applyAlignment="1">
      <alignment vertical="center"/>
    </xf>
    <xf numFmtId="0" fontId="24" fillId="38" borderId="10" xfId="0" applyFont="1" applyFill="1" applyBorder="1" applyAlignment="1">
      <alignment vertical="center"/>
    </xf>
    <xf numFmtId="10" fontId="24" fillId="38" borderId="10" xfId="0" applyNumberFormat="1" applyFont="1" applyFill="1" applyBorder="1" applyAlignment="1">
      <alignment vertical="center"/>
    </xf>
    <xf numFmtId="2" fontId="24" fillId="37" borderId="10" xfId="0" applyNumberFormat="1" applyFont="1" applyFill="1" applyBorder="1" applyAlignment="1">
      <alignment horizontal="center" vertical="center"/>
    </xf>
    <xf numFmtId="9" fontId="24" fillId="38" borderId="10" xfId="0" applyNumberFormat="1" applyFont="1" applyFill="1" applyBorder="1" applyAlignment="1">
      <alignment vertical="center"/>
    </xf>
    <xf numFmtId="164" fontId="25" fillId="37" borderId="10" xfId="66" applyFont="1" applyFill="1" applyBorder="1" applyAlignment="1">
      <alignment horizontal="center" vertical="center"/>
    </xf>
    <xf numFmtId="0" fontId="0" fillId="40" borderId="0" xfId="0" applyFill="1" applyAlignment="1">
      <alignment horizontal="center"/>
    </xf>
    <xf numFmtId="0" fontId="0" fillId="40" borderId="0" xfId="0" applyFill="1" applyAlignment="1">
      <alignment horizontal="center" vertical="center"/>
    </xf>
  </cellXfs>
  <cellStyles count="6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7"/>
    <cellStyle name="Currency" xfId="66" builtinId="4"/>
    <cellStyle name="Explanatory Text" xfId="16" builtinId="53" customBuilti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5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2"/>
  <sheetViews>
    <sheetView showGridLines="0" workbookViewId="0">
      <selection activeCell="B21" sqref="B21"/>
    </sheetView>
  </sheetViews>
  <sheetFormatPr defaultRowHeight="15" x14ac:dyDescent="0.25"/>
  <cols>
    <col min="2" max="2" width="26.28515625" customWidth="1"/>
    <col min="3" max="3" width="12.5703125" style="8" customWidth="1"/>
    <col min="4" max="4" width="7.140625" style="8" bestFit="1" customWidth="1"/>
    <col min="5" max="5" width="13" style="8" customWidth="1"/>
    <col min="6" max="6" width="6.85546875" style="8" customWidth="1"/>
    <col min="7" max="7" width="13" style="8" customWidth="1"/>
    <col min="8" max="8" width="7" style="8" customWidth="1"/>
    <col min="9" max="9" width="13" style="8" customWidth="1"/>
    <col min="10" max="10" width="7.140625" style="8" customWidth="1"/>
    <col min="11" max="11" width="13" style="8" customWidth="1"/>
    <col min="12" max="12" width="7.5703125" style="8" customWidth="1"/>
    <col min="13" max="13" width="8" style="8" bestFit="1" customWidth="1"/>
    <col min="14" max="17" width="7" style="8" bestFit="1" customWidth="1"/>
  </cols>
  <sheetData>
    <row r="1" spans="2:22" x14ac:dyDescent="0.25">
      <c r="F1" s="9"/>
    </row>
    <row r="2" spans="2:22" x14ac:dyDescent="0.25">
      <c r="E2" s="52"/>
      <c r="F2" s="52"/>
      <c r="G2" s="52"/>
      <c r="H2" s="52"/>
      <c r="I2" s="51"/>
      <c r="J2" s="51"/>
      <c r="K2" s="51"/>
      <c r="L2" s="51"/>
    </row>
    <row r="3" spans="2:22" x14ac:dyDescent="0.25">
      <c r="B3" s="2" t="s">
        <v>46</v>
      </c>
      <c r="C3" s="52"/>
      <c r="D3" s="5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2:22" x14ac:dyDescent="0.25">
      <c r="B4" s="3"/>
      <c r="C4" s="4" t="s">
        <v>37</v>
      </c>
      <c r="D4" s="4" t="s">
        <v>10</v>
      </c>
      <c r="E4" s="4" t="s">
        <v>38</v>
      </c>
      <c r="F4" s="4" t="s">
        <v>10</v>
      </c>
      <c r="G4" s="4" t="s">
        <v>39</v>
      </c>
      <c r="H4" s="4" t="s">
        <v>10</v>
      </c>
      <c r="I4" s="4" t="s">
        <v>40</v>
      </c>
      <c r="J4" s="4" t="s">
        <v>10</v>
      </c>
      <c r="K4" s="4" t="s">
        <v>41</v>
      </c>
      <c r="L4" s="4" t="s">
        <v>10</v>
      </c>
      <c r="M4" s="5" t="s">
        <v>7</v>
      </c>
      <c r="N4" s="5" t="s">
        <v>8</v>
      </c>
      <c r="O4" s="5" t="s">
        <v>9</v>
      </c>
      <c r="P4" s="5" t="s">
        <v>42</v>
      </c>
      <c r="Q4" s="5" t="s">
        <v>43</v>
      </c>
    </row>
    <row r="5" spans="2:22" x14ac:dyDescent="0.25">
      <c r="B5" s="6" t="s">
        <v>0</v>
      </c>
      <c r="C5" s="11">
        <v>353488</v>
      </c>
      <c r="D5" s="17">
        <f>C5/C5</f>
        <v>1</v>
      </c>
      <c r="E5" s="11">
        <v>452898</v>
      </c>
      <c r="F5" s="17">
        <f>E5/E5</f>
        <v>1</v>
      </c>
      <c r="G5" s="11">
        <v>711704</v>
      </c>
      <c r="H5" s="17">
        <f>G5/G5</f>
        <v>1</v>
      </c>
      <c r="I5" s="11">
        <v>1000839</v>
      </c>
      <c r="J5" s="17">
        <f>I5/I5</f>
        <v>1</v>
      </c>
      <c r="K5" s="11">
        <v>1370358</v>
      </c>
      <c r="L5" s="17">
        <f>K5/K5</f>
        <v>1</v>
      </c>
      <c r="M5" s="12">
        <f>K5*1.2</f>
        <v>1644429.5999999999</v>
      </c>
      <c r="N5" s="12">
        <f>M5*1.22</f>
        <v>2006204.1119999997</v>
      </c>
      <c r="O5" s="12">
        <f>N5*1.18</f>
        <v>2367320.8521599998</v>
      </c>
      <c r="P5" s="12">
        <f>O5*1.17</f>
        <v>2769765.3970271996</v>
      </c>
      <c r="Q5" s="12">
        <f>P5*1.16</f>
        <v>3212927.8605515515</v>
      </c>
    </row>
    <row r="6" spans="2:22" x14ac:dyDescent="0.25">
      <c r="B6" s="15" t="s">
        <v>44</v>
      </c>
      <c r="C6" s="11">
        <v>174421</v>
      </c>
      <c r="D6" s="17">
        <f>C6/C5</f>
        <v>0.49342834834562982</v>
      </c>
      <c r="E6" s="11">
        <v>229812</v>
      </c>
      <c r="F6" s="17">
        <f>E6/E5</f>
        <v>0.50742551302942385</v>
      </c>
      <c r="G6" s="11">
        <v>316757</v>
      </c>
      <c r="H6" s="17">
        <f>G6/G5</f>
        <v>0.44506845542528917</v>
      </c>
      <c r="I6" s="11">
        <v>431488</v>
      </c>
      <c r="J6" s="17">
        <f>I6/I5</f>
        <v>0.43112628504684569</v>
      </c>
      <c r="K6" s="11">
        <v>607532</v>
      </c>
      <c r="L6" s="17">
        <f>K6/K5</f>
        <v>0.4433381641877524</v>
      </c>
      <c r="M6" s="12">
        <f>L6*M5</f>
        <v>729038.39999999991</v>
      </c>
      <c r="N6" s="12">
        <f>0.46*N5</f>
        <v>922853.89151999995</v>
      </c>
      <c r="O6" s="12">
        <f>0.46*O5</f>
        <v>1088967.5919935999</v>
      </c>
      <c r="P6" s="12">
        <f>0.46*P5</f>
        <v>1274092.0826325119</v>
      </c>
      <c r="Q6" s="12">
        <f>0.46*Q5</f>
        <v>1477946.8158537138</v>
      </c>
    </row>
    <row r="7" spans="2:22" x14ac:dyDescent="0.25">
      <c r="B7" s="6" t="s">
        <v>1</v>
      </c>
      <c r="C7" s="11">
        <f>C5-C6</f>
        <v>179067</v>
      </c>
      <c r="D7" s="17">
        <f>C7/C5</f>
        <v>0.50657165165437013</v>
      </c>
      <c r="E7" s="11">
        <f>E5-E6</f>
        <v>223086</v>
      </c>
      <c r="F7" s="17">
        <f>E7/E5</f>
        <v>0.49257448697057615</v>
      </c>
      <c r="G7" s="11">
        <f>G5-G6</f>
        <v>394947</v>
      </c>
      <c r="H7" s="17">
        <f>G7/G5</f>
        <v>0.55493154457471083</v>
      </c>
      <c r="I7" s="11">
        <f>I5-I6</f>
        <v>569351</v>
      </c>
      <c r="J7" s="17">
        <f>I7/I5</f>
        <v>0.56887371495315431</v>
      </c>
      <c r="K7" s="11">
        <f>K5-K6</f>
        <v>762826</v>
      </c>
      <c r="L7" s="17">
        <f>K7/K5</f>
        <v>0.5566618358122476</v>
      </c>
      <c r="M7" s="12">
        <f>M5-M6</f>
        <v>915391.2</v>
      </c>
      <c r="N7" s="12">
        <f>N5-N6</f>
        <v>1083350.2204799997</v>
      </c>
      <c r="O7" s="12">
        <f>O5-O6</f>
        <v>1278353.2601663999</v>
      </c>
      <c r="P7" s="12">
        <f>P5-P6</f>
        <v>1495673.3143946878</v>
      </c>
      <c r="Q7" s="12">
        <f>Q5-Q6</f>
        <v>1734981.0446978377</v>
      </c>
      <c r="R7" s="16"/>
      <c r="S7" s="16"/>
      <c r="T7" s="16"/>
      <c r="U7" s="16"/>
      <c r="V7" s="16"/>
    </row>
    <row r="8" spans="2:22" x14ac:dyDescent="0.25">
      <c r="B8" s="7" t="s">
        <v>2</v>
      </c>
      <c r="C8" s="11">
        <v>122503</v>
      </c>
      <c r="D8" s="17">
        <f>C8/C5</f>
        <v>0.34655490426832031</v>
      </c>
      <c r="E8" s="11">
        <v>136540</v>
      </c>
      <c r="F8" s="17">
        <f>E8/E5</f>
        <v>0.30148068660051491</v>
      </c>
      <c r="G8" s="11">
        <v>214506</v>
      </c>
      <c r="H8" s="17">
        <f>G8/G5</f>
        <v>0.30139777210750535</v>
      </c>
      <c r="I8" s="11">
        <v>282393</v>
      </c>
      <c r="J8" s="17">
        <f>I8/I5</f>
        <v>0.28215627088872436</v>
      </c>
      <c r="K8" s="11">
        <v>386387</v>
      </c>
      <c r="L8" s="17">
        <f>K8/K5</f>
        <v>0.2819606263472757</v>
      </c>
      <c r="M8" s="12">
        <f>L8*M5</f>
        <v>463664.4</v>
      </c>
      <c r="N8" s="12">
        <f>L8*N5</f>
        <v>565670.56799999997</v>
      </c>
      <c r="O8" s="12">
        <f>L8*O5</f>
        <v>667491.27023999998</v>
      </c>
      <c r="P8" s="12">
        <f>L8*P5</f>
        <v>780964.78618079994</v>
      </c>
      <c r="Q8" s="12">
        <f>L8*Q5</f>
        <v>905919.15196972794</v>
      </c>
      <c r="R8" s="16"/>
    </row>
    <row r="9" spans="2:22" x14ac:dyDescent="0.25">
      <c r="B9" s="6" t="s">
        <v>3</v>
      </c>
      <c r="C9" s="11">
        <f>C7-C8</f>
        <v>56564</v>
      </c>
      <c r="D9" s="17">
        <f>C9/C5</f>
        <v>0.16001674738604987</v>
      </c>
      <c r="E9" s="11">
        <f>E7-E8</f>
        <v>86546</v>
      </c>
      <c r="F9" s="17">
        <f>E9/E5</f>
        <v>0.19109380037006124</v>
      </c>
      <c r="G9" s="11">
        <v>180391</v>
      </c>
      <c r="H9" s="17">
        <f>G9/G5</f>
        <v>0.25346351854141608</v>
      </c>
      <c r="I9" s="11">
        <f>I7-I8</f>
        <v>286958</v>
      </c>
      <c r="J9" s="17">
        <f>I9/I5</f>
        <v>0.28671744406442995</v>
      </c>
      <c r="K9" s="11">
        <f>K7-K8</f>
        <v>376439</v>
      </c>
      <c r="L9" s="17">
        <f>K9/K5</f>
        <v>0.27470120946497195</v>
      </c>
      <c r="M9" s="13">
        <f>M7-M8</f>
        <v>451726.79999999993</v>
      </c>
      <c r="N9" s="13">
        <f>N7-N8</f>
        <v>517679.6524799997</v>
      </c>
      <c r="O9" s="13">
        <f>O7-O8</f>
        <v>610861.9899263999</v>
      </c>
      <c r="P9" s="13">
        <f>P7-P8</f>
        <v>714708.52821388782</v>
      </c>
      <c r="Q9" s="13">
        <f>Q7-Q8</f>
        <v>829061.89272810973</v>
      </c>
      <c r="R9" s="16"/>
      <c r="S9" s="16"/>
      <c r="T9" s="16"/>
      <c r="U9" s="16"/>
      <c r="V9" s="16"/>
    </row>
    <row r="10" spans="2:22" x14ac:dyDescent="0.25">
      <c r="B10" s="15" t="s">
        <v>45</v>
      </c>
      <c r="C10" s="11">
        <v>821</v>
      </c>
      <c r="D10" s="17">
        <f>C10/C5</f>
        <v>2.3225682342823519E-3</v>
      </c>
      <c r="E10" s="11">
        <v>164</v>
      </c>
      <c r="F10" s="17">
        <f>E10/E5</f>
        <v>3.6211244032872746E-4</v>
      </c>
      <c r="G10" s="11">
        <v>2886</v>
      </c>
      <c r="H10" s="17">
        <f>G10/G5</f>
        <v>4.0550565965626157E-3</v>
      </c>
      <c r="I10" s="11">
        <v>2500</v>
      </c>
      <c r="J10" s="17">
        <f>I10/I5</f>
        <v>2.4979042583272632E-3</v>
      </c>
      <c r="K10" s="11">
        <v>4957</v>
      </c>
      <c r="L10" s="17">
        <f>K10/K5</f>
        <v>3.617302923761528E-3</v>
      </c>
      <c r="M10" s="12">
        <f>0.0025*M5</f>
        <v>4111.0739999999996</v>
      </c>
      <c r="N10" s="12">
        <f>0.0025*N5</f>
        <v>5015.5102799999995</v>
      </c>
      <c r="O10" s="12">
        <f>0.0025*O5</f>
        <v>5918.3021303999994</v>
      </c>
      <c r="P10" s="12">
        <f>0.0025*P5</f>
        <v>6924.4134925679991</v>
      </c>
      <c r="Q10" s="12">
        <f>0.0025*Q5</f>
        <v>8032.3196513788789</v>
      </c>
    </row>
    <row r="11" spans="2:22" x14ac:dyDescent="0.25">
      <c r="B11" s="6" t="s">
        <v>4</v>
      </c>
      <c r="C11" s="11">
        <f>C9+C10</f>
        <v>57385</v>
      </c>
      <c r="D11" s="17">
        <f>C11/C5</f>
        <v>0.16233931562033224</v>
      </c>
      <c r="E11" s="11">
        <f>E9+E10</f>
        <v>86710</v>
      </c>
      <c r="F11" s="17">
        <f>E11/E5</f>
        <v>0.19145591281038998</v>
      </c>
      <c r="G11" s="11">
        <f>G9+G10</f>
        <v>183277</v>
      </c>
      <c r="H11" s="17">
        <f>G11/G5</f>
        <v>0.25751857513797871</v>
      </c>
      <c r="I11" s="11">
        <f>I9+I10</f>
        <v>289458</v>
      </c>
      <c r="J11" s="17">
        <f>I11/I5</f>
        <v>0.28921534832275719</v>
      </c>
      <c r="K11" s="11">
        <f>K9+K10</f>
        <v>381396</v>
      </c>
      <c r="L11" s="17">
        <f>K11/K5</f>
        <v>0.27831851238873345</v>
      </c>
      <c r="M11" s="13">
        <f>M10+M9</f>
        <v>455837.87399999995</v>
      </c>
      <c r="N11" s="13">
        <f>N10+N9</f>
        <v>522695.16275999969</v>
      </c>
      <c r="O11" s="13">
        <f>O10+O9</f>
        <v>616780.29205679987</v>
      </c>
      <c r="P11" s="13">
        <f>P10+P9</f>
        <v>721632.94170645578</v>
      </c>
      <c r="Q11" s="13">
        <f>Q10+Q9</f>
        <v>837094.21237948863</v>
      </c>
    </row>
    <row r="12" spans="2:22" x14ac:dyDescent="0.25">
      <c r="B12" s="7" t="s">
        <v>5</v>
      </c>
      <c r="C12" s="11">
        <v>16884</v>
      </c>
      <c r="D12" s="17">
        <f>C12/C5</f>
        <v>4.7763997646313311E-2</v>
      </c>
      <c r="E12" s="11">
        <v>28429</v>
      </c>
      <c r="F12" s="17">
        <f>E12/E5</f>
        <v>6.277130832991093E-2</v>
      </c>
      <c r="G12" s="11">
        <v>61080</v>
      </c>
      <c r="H12" s="17">
        <f>G12/G5</f>
        <v>8.5822195744298196E-2</v>
      </c>
      <c r="I12" s="11">
        <v>104494</v>
      </c>
      <c r="J12" s="17">
        <f>I12/I5</f>
        <v>0.10440640302785963</v>
      </c>
      <c r="K12" s="11">
        <v>109965</v>
      </c>
      <c r="L12" s="17">
        <f>K12/K5</f>
        <v>8.024545410761276E-2</v>
      </c>
      <c r="M12" s="12">
        <f>30%*M11</f>
        <v>136751.36219999997</v>
      </c>
      <c r="N12" s="12">
        <f>30%*N11</f>
        <v>156808.54882799991</v>
      </c>
      <c r="O12" s="12">
        <f>30%*O11</f>
        <v>185034.08761703994</v>
      </c>
      <c r="P12" s="12">
        <f>30%*P11</f>
        <v>216489.88251193674</v>
      </c>
      <c r="Q12" s="12">
        <f>30%*Q11</f>
        <v>251128.26371384657</v>
      </c>
    </row>
    <row r="13" spans="2:22" x14ac:dyDescent="0.25">
      <c r="B13" s="6" t="s">
        <v>6</v>
      </c>
      <c r="C13" s="19">
        <f>C11-C12</f>
        <v>40501</v>
      </c>
      <c r="D13" s="17">
        <f>C13/C5</f>
        <v>0.11457531797401892</v>
      </c>
      <c r="E13" s="19">
        <f>E11-E12</f>
        <v>58281</v>
      </c>
      <c r="F13" s="17">
        <f>E13/E5</f>
        <v>0.12868460448047905</v>
      </c>
      <c r="G13" s="19">
        <f>G11-G12</f>
        <v>122197</v>
      </c>
      <c r="H13" s="17">
        <f>G13/G5</f>
        <v>0.17169637939368051</v>
      </c>
      <c r="I13" s="19">
        <f>I11-I12</f>
        <v>184964</v>
      </c>
      <c r="J13" s="17">
        <f>I13/I5</f>
        <v>0.18480894529489758</v>
      </c>
      <c r="K13" s="19">
        <f>K11-K12</f>
        <v>271431</v>
      </c>
      <c r="L13" s="17">
        <f>K13/K5</f>
        <v>0.19807305828112071</v>
      </c>
      <c r="M13" s="14">
        <f>M11-M12</f>
        <v>319086.51179999998</v>
      </c>
      <c r="N13" s="14">
        <f t="shared" ref="N13:P13" si="0">N11-N12</f>
        <v>365886.61393199977</v>
      </c>
      <c r="O13" s="14">
        <f t="shared" si="0"/>
        <v>431746.20443975995</v>
      </c>
      <c r="P13" s="14">
        <f t="shared" si="0"/>
        <v>505143.05919451907</v>
      </c>
      <c r="Q13" s="14">
        <f t="shared" ref="Q13" si="1">Q11-Q12</f>
        <v>585965.94866564206</v>
      </c>
    </row>
    <row r="14" spans="2:22" x14ac:dyDescent="0.25"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2:22" x14ac:dyDescent="0.25">
      <c r="B15" s="20" t="s">
        <v>48</v>
      </c>
      <c r="G15" s="16"/>
    </row>
    <row r="16" spans="2:22" x14ac:dyDescent="0.25">
      <c r="B16" s="20" t="s">
        <v>49</v>
      </c>
      <c r="G16" s="16"/>
      <c r="M16" s="18"/>
    </row>
    <row r="17" spans="2:13" x14ac:dyDescent="0.25">
      <c r="B17" s="20" t="s">
        <v>50</v>
      </c>
      <c r="G17" s="16"/>
      <c r="M17" s="21"/>
    </row>
    <row r="18" spans="2:13" x14ac:dyDescent="0.25">
      <c r="B18" s="20" t="s">
        <v>51</v>
      </c>
      <c r="G18" s="16"/>
    </row>
    <row r="19" spans="2:13" x14ac:dyDescent="0.25">
      <c r="G19" s="16"/>
    </row>
    <row r="20" spans="2:13" x14ac:dyDescent="0.25">
      <c r="G20" s="16"/>
    </row>
    <row r="21" spans="2:13" x14ac:dyDescent="0.25">
      <c r="G21" s="16"/>
    </row>
    <row r="22" spans="2:13" x14ac:dyDescent="0.25">
      <c r="G22" s="16"/>
    </row>
  </sheetData>
  <mergeCells count="5">
    <mergeCell ref="K2:L2"/>
    <mergeCell ref="C3:D3"/>
    <mergeCell ref="E2:F2"/>
    <mergeCell ref="G2:H2"/>
    <mergeCell ref="I2:J2"/>
  </mergeCells>
  <pageMargins left="0.7" right="0.7" top="0.75" bottom="0.75" header="0.3" footer="0.3"/>
  <pageSetup orientation="portrait" verticalDpi="300" r:id="rId1"/>
  <ignoredErrors>
    <ignoredError sqref="D7 D9 D11 D13 E7:L13 M8: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6"/>
  <sheetViews>
    <sheetView showGridLines="0" tabSelected="1" workbookViewId="0">
      <selection activeCell="A4" sqref="A4"/>
    </sheetView>
  </sheetViews>
  <sheetFormatPr defaultRowHeight="15" x14ac:dyDescent="0.25"/>
  <cols>
    <col min="1" max="2" width="9.140625" style="33"/>
    <col min="3" max="3" width="22.7109375" style="33" bestFit="1" customWidth="1"/>
    <col min="4" max="4" width="12.42578125" style="33" customWidth="1"/>
    <col min="5" max="5" width="12" style="33" customWidth="1"/>
    <col min="6" max="6" width="12.140625" style="33" customWidth="1"/>
    <col min="7" max="8" width="12.140625" style="33" bestFit="1" customWidth="1"/>
    <col min="9" max="13" width="8.28515625" style="33" bestFit="1" customWidth="1"/>
    <col min="14" max="14" width="9.140625" style="33"/>
    <col min="15" max="15" width="20" style="33" customWidth="1"/>
    <col min="16" max="16" width="5.140625" style="33" bestFit="1" customWidth="1"/>
    <col min="17" max="16384" width="9.140625" style="33"/>
  </cols>
  <sheetData>
    <row r="1" spans="3:16" x14ac:dyDescent="0.25">
      <c r="E1" s="34"/>
      <c r="F1" s="34"/>
      <c r="G1" s="34"/>
      <c r="H1" s="34"/>
      <c r="I1" s="34"/>
    </row>
    <row r="2" spans="3:16" x14ac:dyDescent="0.25">
      <c r="C2" s="35" t="s">
        <v>46</v>
      </c>
    </row>
    <row r="3" spans="3:16" x14ac:dyDescent="0.25">
      <c r="C3" s="36" t="s">
        <v>16</v>
      </c>
      <c r="D3" s="37"/>
      <c r="E3" s="37"/>
      <c r="F3" s="37"/>
      <c r="G3" s="37"/>
      <c r="H3" s="37"/>
      <c r="I3" s="37"/>
      <c r="J3" s="37"/>
      <c r="K3" s="37"/>
      <c r="L3" s="37"/>
    </row>
    <row r="4" spans="3:16" x14ac:dyDescent="0.25">
      <c r="C4" s="38"/>
      <c r="D4" s="32" t="s">
        <v>37</v>
      </c>
      <c r="E4" s="32" t="s">
        <v>38</v>
      </c>
      <c r="F4" s="32" t="s">
        <v>39</v>
      </c>
      <c r="G4" s="32" t="s">
        <v>40</v>
      </c>
      <c r="H4" s="32" t="s">
        <v>41</v>
      </c>
      <c r="I4" s="32" t="s">
        <v>7</v>
      </c>
      <c r="J4" s="32" t="s">
        <v>8</v>
      </c>
      <c r="K4" s="32" t="s">
        <v>9</v>
      </c>
      <c r="L4" s="32" t="s">
        <v>42</v>
      </c>
      <c r="M4" s="32" t="s">
        <v>43</v>
      </c>
    </row>
    <row r="5" spans="3:16" x14ac:dyDescent="0.25">
      <c r="C5" s="39" t="s">
        <v>11</v>
      </c>
      <c r="D5" s="22">
        <f>'Income Statement'!C11</f>
        <v>57385</v>
      </c>
      <c r="E5" s="22">
        <f>'Income Statement'!E11</f>
        <v>86710</v>
      </c>
      <c r="F5" s="23">
        <f>'Income Statement'!G11</f>
        <v>183277</v>
      </c>
      <c r="G5" s="24">
        <f>'Income Statement'!I11</f>
        <v>289458</v>
      </c>
      <c r="H5" s="24">
        <f>'Income Statement'!K11</f>
        <v>381396</v>
      </c>
      <c r="I5" s="25">
        <v>455837.87399999995</v>
      </c>
      <c r="J5" s="25">
        <v>522695.16275999969</v>
      </c>
      <c r="K5" s="25">
        <v>616780.29205679987</v>
      </c>
      <c r="L5" s="25">
        <v>721632.94170645578</v>
      </c>
      <c r="M5" s="25">
        <v>837094.21237948863</v>
      </c>
    </row>
    <row r="6" spans="3:16" x14ac:dyDescent="0.25">
      <c r="C6" s="39" t="s">
        <v>12</v>
      </c>
      <c r="D6" s="22">
        <f>'Income Statement'!C12</f>
        <v>16884</v>
      </c>
      <c r="E6" s="22">
        <f>'Income Statement'!E12</f>
        <v>28429</v>
      </c>
      <c r="F6" s="23">
        <f>'Income Statement'!G12</f>
        <v>61080</v>
      </c>
      <c r="G6" s="24">
        <f>'Income Statement'!I12</f>
        <v>104494</v>
      </c>
      <c r="H6" s="24">
        <f>'Income Statement'!K12</f>
        <v>109965</v>
      </c>
      <c r="I6" s="25">
        <v>136751.36219999997</v>
      </c>
      <c r="J6" s="25">
        <v>156808.54882799991</v>
      </c>
      <c r="K6" s="25">
        <v>185034.08761703994</v>
      </c>
      <c r="L6" s="25">
        <v>216489.88251193674</v>
      </c>
      <c r="M6" s="25">
        <v>251128.26371384657</v>
      </c>
    </row>
    <row r="7" spans="3:16" x14ac:dyDescent="0.25">
      <c r="C7" s="39" t="s">
        <v>36</v>
      </c>
      <c r="D7" s="22">
        <f>D5-D6</f>
        <v>40501</v>
      </c>
      <c r="E7" s="22">
        <f>E5-E6</f>
        <v>58281</v>
      </c>
      <c r="F7" s="22">
        <f>F5-F6</f>
        <v>122197</v>
      </c>
      <c r="G7" s="22">
        <f>G5-G6</f>
        <v>184964</v>
      </c>
      <c r="H7" s="22">
        <f>H5-H6</f>
        <v>271431</v>
      </c>
      <c r="I7" s="25">
        <f t="shared" ref="I7:L7" si="0">I5-I6</f>
        <v>319086.51179999998</v>
      </c>
      <c r="J7" s="25">
        <f t="shared" si="0"/>
        <v>365886.61393199977</v>
      </c>
      <c r="K7" s="25">
        <f t="shared" si="0"/>
        <v>431746.20443975995</v>
      </c>
      <c r="L7" s="25">
        <f t="shared" si="0"/>
        <v>505143.05919451907</v>
      </c>
      <c r="M7" s="26">
        <f>M5-M6</f>
        <v>585965.94866564206</v>
      </c>
    </row>
    <row r="8" spans="3:16" x14ac:dyDescent="0.25">
      <c r="C8" s="39" t="s">
        <v>13</v>
      </c>
      <c r="D8" s="22" t="s">
        <v>55</v>
      </c>
      <c r="E8" s="22" t="s">
        <v>55</v>
      </c>
      <c r="F8" s="22">
        <v>24614</v>
      </c>
      <c r="G8" s="22">
        <v>30259</v>
      </c>
      <c r="H8" s="22">
        <v>43000</v>
      </c>
      <c r="I8" s="25">
        <f>0.034*'Income Statement'!M5</f>
        <v>55910.606399999997</v>
      </c>
      <c r="J8" s="25">
        <f>0.034*'Income Statement'!N5</f>
        <v>68210.939807999996</v>
      </c>
      <c r="K8" s="25">
        <f>0.034*'Income Statement'!O5</f>
        <v>80488.908973440004</v>
      </c>
      <c r="L8" s="25">
        <f>0.034*'Income Statement'!P5</f>
        <v>94172.023498924798</v>
      </c>
      <c r="M8" s="25">
        <f>0.034*'Income Statement'!Q5</f>
        <v>109239.54725875276</v>
      </c>
    </row>
    <row r="9" spans="3:16" x14ac:dyDescent="0.25">
      <c r="C9" s="39" t="s">
        <v>14</v>
      </c>
      <c r="D9" s="22" t="s">
        <v>55</v>
      </c>
      <c r="E9" s="22" t="s">
        <v>55</v>
      </c>
      <c r="F9" s="22">
        <v>-24000</v>
      </c>
      <c r="G9" s="22">
        <v>13700</v>
      </c>
      <c r="H9" s="22">
        <v>32300</v>
      </c>
      <c r="I9" s="25">
        <v>8500</v>
      </c>
      <c r="J9" s="25">
        <v>15600</v>
      </c>
      <c r="K9" s="25">
        <v>14600</v>
      </c>
      <c r="L9" s="25">
        <v>15000</v>
      </c>
      <c r="M9" s="25">
        <v>15000</v>
      </c>
    </row>
    <row r="10" spans="3:16" x14ac:dyDescent="0.25">
      <c r="C10" s="39" t="s">
        <v>15</v>
      </c>
      <c r="D10" s="22" t="s">
        <v>55</v>
      </c>
      <c r="E10" s="22" t="s">
        <v>55</v>
      </c>
      <c r="F10" s="22">
        <v>30357</v>
      </c>
      <c r="G10" s="22">
        <v>116896</v>
      </c>
      <c r="H10" s="22">
        <v>93229</v>
      </c>
      <c r="I10" s="25">
        <f>0.065*'Income Statement'!M5</f>
        <v>106887.924</v>
      </c>
      <c r="J10" s="25">
        <f>0.055*'Income Statement'!N5</f>
        <v>110341.22615999999</v>
      </c>
      <c r="K10" s="25">
        <f>0.055*'Income Statement'!O5</f>
        <v>130202.64686879999</v>
      </c>
      <c r="L10" s="25">
        <f>0.055*'Income Statement'!P5</f>
        <v>152337.09683649597</v>
      </c>
      <c r="M10" s="25">
        <f>0.055*'Income Statement'!Q5</f>
        <v>176711.03233033532</v>
      </c>
    </row>
    <row r="11" spans="3:16" x14ac:dyDescent="0.25">
      <c r="C11" s="39" t="s">
        <v>17</v>
      </c>
      <c r="D11" s="23">
        <v>40501</v>
      </c>
      <c r="E11" s="23">
        <v>58281</v>
      </c>
      <c r="F11" s="23">
        <f t="shared" ref="F11:H11" si="1">F7+F8-F9-F10</f>
        <v>140454</v>
      </c>
      <c r="G11" s="23">
        <f t="shared" si="1"/>
        <v>84627</v>
      </c>
      <c r="H11" s="23">
        <f t="shared" si="1"/>
        <v>188902</v>
      </c>
      <c r="I11" s="25">
        <f>I7+I8-I9-I10</f>
        <v>259609.19419999997</v>
      </c>
      <c r="J11" s="25">
        <f t="shared" ref="J11:M11" si="2">J7+J8-J9-J10</f>
        <v>308156.32757999981</v>
      </c>
      <c r="K11" s="25">
        <f t="shared" si="2"/>
        <v>367432.46654439997</v>
      </c>
      <c r="L11" s="25">
        <f t="shared" si="2"/>
        <v>431977.9858569479</v>
      </c>
      <c r="M11" s="25">
        <f t="shared" si="2"/>
        <v>503494.46359405946</v>
      </c>
    </row>
    <row r="12" spans="3:16" x14ac:dyDescent="0.25">
      <c r="C12" s="39" t="s">
        <v>47</v>
      </c>
      <c r="D12" s="27"/>
      <c r="E12" s="27"/>
      <c r="F12" s="27"/>
      <c r="G12" s="27"/>
      <c r="H12" s="27"/>
      <c r="I12" s="28">
        <f>(1+$G$17)^1</f>
        <v>1.0873440000000001</v>
      </c>
      <c r="J12" s="28">
        <f>(1+$G$17)^2</f>
        <v>1.1823169743360002</v>
      </c>
      <c r="K12" s="28">
        <f>(1+$G$17)^3</f>
        <v>1.285585268142404</v>
      </c>
      <c r="L12" s="28">
        <f>(1+$G$17)^4</f>
        <v>1.3978734278030343</v>
      </c>
      <c r="M12" s="28">
        <f>(1+$G$17)^5</f>
        <v>1.5199692844810626</v>
      </c>
    </row>
    <row r="13" spans="3:16" x14ac:dyDescent="0.25">
      <c r="C13" s="39" t="s">
        <v>25</v>
      </c>
      <c r="D13" s="22"/>
      <c r="E13" s="22"/>
      <c r="F13" s="22"/>
      <c r="G13" s="22"/>
      <c r="H13" s="22"/>
      <c r="I13" s="29">
        <f>I11/I12</f>
        <v>238755.34715784513</v>
      </c>
      <c r="J13" s="29">
        <f t="shared" ref="J13:M13" si="3">J11/J12</f>
        <v>260637.65831752788</v>
      </c>
      <c r="K13" s="29">
        <f t="shared" si="3"/>
        <v>285809.48743704765</v>
      </c>
      <c r="L13" s="29">
        <f t="shared" si="3"/>
        <v>309025.10718432174</v>
      </c>
      <c r="M13" s="29">
        <f t="shared" si="3"/>
        <v>331253.05144962785</v>
      </c>
    </row>
    <row r="14" spans="3:16" x14ac:dyDescent="0.25">
      <c r="C14" s="39" t="s">
        <v>26</v>
      </c>
      <c r="D14" s="30">
        <f>SUM(I13:M13)</f>
        <v>1425480.6515463702</v>
      </c>
      <c r="E14" s="22"/>
      <c r="F14" s="22"/>
      <c r="G14" s="22"/>
      <c r="H14" s="22"/>
      <c r="I14" s="31"/>
      <c r="J14" s="31"/>
      <c r="K14" s="31"/>
      <c r="L14" s="31"/>
      <c r="M14" s="31"/>
    </row>
    <row r="15" spans="3:16" x14ac:dyDescent="0.25"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3:16" x14ac:dyDescent="0.25">
      <c r="C16" s="36" t="s">
        <v>27</v>
      </c>
      <c r="D16" s="37"/>
      <c r="E16" s="37"/>
      <c r="F16" s="37"/>
      <c r="G16" s="37"/>
      <c r="H16" s="37"/>
      <c r="I16" s="37"/>
      <c r="J16" s="37"/>
      <c r="K16" s="37"/>
      <c r="L16" s="37"/>
      <c r="O16" s="40" t="s">
        <v>18</v>
      </c>
      <c r="P16" s="41"/>
    </row>
    <row r="17" spans="3:16" x14ac:dyDescent="0.25">
      <c r="C17" s="42" t="s">
        <v>28</v>
      </c>
      <c r="D17" s="43">
        <v>4.2999999999999997E-2</v>
      </c>
      <c r="E17" s="37"/>
      <c r="F17" s="44" t="s">
        <v>24</v>
      </c>
      <c r="G17" s="45">
        <f>P20</f>
        <v>8.7344000000000005E-2</v>
      </c>
      <c r="H17" s="37"/>
      <c r="I17" s="37"/>
      <c r="J17" s="37"/>
      <c r="K17" s="37"/>
      <c r="O17" s="46" t="s">
        <v>19</v>
      </c>
      <c r="P17" s="47">
        <v>2.7400000000000001E-2</v>
      </c>
    </row>
    <row r="18" spans="3:16" x14ac:dyDescent="0.25">
      <c r="C18" s="42" t="s">
        <v>29</v>
      </c>
      <c r="D18" s="48">
        <f>M11*(1+D17)</f>
        <v>525144.725528604</v>
      </c>
      <c r="E18" s="37"/>
      <c r="F18" s="37"/>
      <c r="G18" s="37"/>
      <c r="H18" s="37"/>
      <c r="I18" s="37"/>
      <c r="J18" s="37"/>
      <c r="K18" s="37"/>
      <c r="O18" s="46" t="s">
        <v>20</v>
      </c>
      <c r="P18" s="49">
        <f>(7.46%-2.74%)</f>
        <v>4.7199999999999999E-2</v>
      </c>
    </row>
    <row r="19" spans="3:16" x14ac:dyDescent="0.25">
      <c r="C19" s="42" t="s">
        <v>30</v>
      </c>
      <c r="D19" s="48">
        <f>D18/(G17-D17)</f>
        <v>11842520.420544017</v>
      </c>
      <c r="E19" s="37"/>
      <c r="F19" s="37"/>
      <c r="G19" s="37"/>
      <c r="H19" s="37"/>
      <c r="I19" s="37"/>
      <c r="J19" s="37"/>
      <c r="K19" s="37"/>
      <c r="O19" s="46" t="s">
        <v>21</v>
      </c>
      <c r="P19" s="46">
        <v>1.27</v>
      </c>
    </row>
    <row r="20" spans="3:16" x14ac:dyDescent="0.25">
      <c r="C20" s="42" t="s">
        <v>31</v>
      </c>
      <c r="D20" s="48">
        <f>D19/((1+G17)^5)</f>
        <v>7791289.2987092221</v>
      </c>
      <c r="E20" s="37"/>
      <c r="F20" s="37"/>
      <c r="G20" s="37"/>
      <c r="H20" s="37"/>
      <c r="I20" s="37"/>
      <c r="J20" s="37"/>
      <c r="K20" s="37"/>
      <c r="O20" s="46" t="s">
        <v>22</v>
      </c>
      <c r="P20" s="47">
        <f>P17+P18*P19</f>
        <v>8.7344000000000005E-2</v>
      </c>
    </row>
    <row r="21" spans="3:16" x14ac:dyDescent="0.25">
      <c r="C21" s="42" t="s">
        <v>32</v>
      </c>
      <c r="D21" s="48">
        <f>D20+D14</f>
        <v>9216769.9502555914</v>
      </c>
      <c r="E21" s="37"/>
      <c r="F21" s="37"/>
      <c r="G21" s="37"/>
      <c r="H21" s="37"/>
      <c r="I21" s="37"/>
      <c r="J21" s="37"/>
      <c r="K21" s="37"/>
    </row>
    <row r="22" spans="3:16" x14ac:dyDescent="0.25">
      <c r="C22" s="42" t="s">
        <v>23</v>
      </c>
      <c r="D22" s="48">
        <v>0</v>
      </c>
      <c r="E22" s="37"/>
      <c r="F22" s="37" t="s">
        <v>48</v>
      </c>
      <c r="G22" s="37"/>
      <c r="H22" s="37"/>
      <c r="I22" s="37"/>
      <c r="J22" s="37"/>
      <c r="K22" s="37"/>
      <c r="L22" s="37"/>
    </row>
    <row r="23" spans="3:16" x14ac:dyDescent="0.25">
      <c r="C23" s="42" t="s">
        <v>33</v>
      </c>
      <c r="D23" s="48">
        <f>D21-D22</f>
        <v>9216769.9502555914</v>
      </c>
      <c r="E23" s="37"/>
      <c r="F23" s="37" t="s">
        <v>52</v>
      </c>
      <c r="G23" s="37"/>
      <c r="H23" s="37"/>
      <c r="I23" s="37"/>
      <c r="J23" s="37"/>
      <c r="K23" s="37"/>
      <c r="L23" s="37"/>
    </row>
    <row r="24" spans="3:16" x14ac:dyDescent="0.25">
      <c r="C24" s="42" t="s">
        <v>34</v>
      </c>
      <c r="D24" s="48">
        <v>145900000</v>
      </c>
      <c r="E24" s="37"/>
      <c r="F24" s="37" t="s">
        <v>53</v>
      </c>
      <c r="G24" s="37"/>
      <c r="H24" s="37"/>
      <c r="I24" s="37"/>
      <c r="J24" s="37"/>
      <c r="K24" s="37"/>
      <c r="L24" s="37"/>
    </row>
    <row r="25" spans="3:16" x14ac:dyDescent="0.25">
      <c r="C25" s="42" t="s">
        <v>35</v>
      </c>
      <c r="D25" s="50">
        <f>(D23*1000)/D24</f>
        <v>63.171829679613381</v>
      </c>
      <c r="E25" s="37"/>
      <c r="F25" s="37" t="s">
        <v>56</v>
      </c>
      <c r="G25" s="37"/>
      <c r="H25" s="37"/>
      <c r="I25" s="37"/>
      <c r="J25" s="37"/>
      <c r="K25" s="37"/>
      <c r="L25" s="37"/>
    </row>
    <row r="26" spans="3:16" x14ac:dyDescent="0.25">
      <c r="F26" s="37" t="s">
        <v>54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Statement</vt:lpstr>
      <vt:lpstr>Discounted Cash Flows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2013-12-02T06:15:06Z</dcterms:modified>
</cp:coreProperties>
</file>